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55" windowWidth="15300" windowHeight="39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<sst xmlns="http://schemas.openxmlformats.org/spreadsheetml/2006/main" count="124" uniqueCount="70">
  <si>
    <t>Приложение  № 3</t>
  </si>
  <si>
    <t>к приказу Минэнерго России</t>
  </si>
  <si>
    <t>Форма 3. План освоения капитальных вложений по инвестиционным проектам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</si>
  <si>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</si>
  <si>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</si>
  <si>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</si>
  <si>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</si>
  <si>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</si>
  <si>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</si>
  <si>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</si>
  <si>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0"/>
        <rFont val="Arial Cyr"/>
        <family val="0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</si>
  <si>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</si>
  <si>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</si>
  <si>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</si>
  <si>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</si>
  <si>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</si>
  <si>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</si>
  <si>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</si>
  <si>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</si>
  <si>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</si>
  <si>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</si>
  <si>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</si>
  <si>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</si>
  <si>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</si>
  <si>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</si>
  <si>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</si>
  <si>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</si>
  <si>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
План
(Утвержденный план)</t>
  </si>
  <si>
    <t xml:space="preserve">Факт 
(Предложение по корректировке утвержденного плана) </t>
  </si>
  <si>
    <t>План
(Утвержденный план)</t>
  </si>
  <si>
    <t>Факт 
(Предложение по корректировке плана)</t>
  </si>
  <si>
    <t>29.1</t>
  </si>
  <si>
    <t>29.2</t>
  </si>
  <si>
    <t>29.3</t>
  </si>
  <si>
    <t>29.4</t>
  </si>
  <si>
    <t>29.5</t>
  </si>
  <si>
    <t>29.6</t>
  </si>
  <si>
    <t>от 5 мая 2016 г. № 380</t>
  </si>
  <si>
    <t>Идентификатор инвестиционного проекта</t>
  </si>
  <si>
    <t>Всего, в т. ч.:</t>
  </si>
  <si>
    <t xml:space="preserve"> ---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</si>
  <si>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</si>
  <si>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</si>
  <si>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</si>
  <si>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Техническое перевооружение (модернизация) РП-1</t>
  </si>
  <si>
    <t>З</t>
  </si>
  <si>
    <t xml:space="preserve"> - </t>
  </si>
  <si>
    <t>Техническое перевооружение (модернизация) РП-2</t>
  </si>
  <si>
    <t>С</t>
  </si>
  <si>
    <t>Техническое перевооружение (модернизация) РП-4</t>
  </si>
  <si>
    <t>Техническое перевооружение (модернизация) РП-5</t>
  </si>
  <si>
    <t>Новое строительство</t>
  </si>
  <si>
    <t>Оборудование трансформаторных подстанций АИИС КУЭиИ</t>
  </si>
  <si>
    <t>И</t>
  </si>
  <si>
    <t>Прочее новое строительство</t>
  </si>
  <si>
    <t xml:space="preserve">Мероприятия по объектам технологического присоединения до 15 кВт потребителей г. Нерюнгри </t>
  </si>
  <si>
    <t>Мероприятия по развитию электрических сетей для обеспечения технологического подключения потребителей</t>
  </si>
  <si>
    <t>П</t>
  </si>
  <si>
    <t xml:space="preserve">Фактический объем освоения капитальных вложений на 01.01. 2016 года , млн рублей 
(без НДС) </t>
  </si>
  <si>
    <t>План на 01.01. 2016 года</t>
  </si>
  <si>
    <t>План 
на 01.01. 2017</t>
  </si>
  <si>
    <t>Предложение по корректировке утвержденного плана 
на 01.01. 2017 года</t>
  </si>
  <si>
    <t>Освоение капитальных вложений 2016 года в прогнозных ценах соответствующих лет, млн рублей (без НДС)</t>
  </si>
  <si>
    <t xml:space="preserve">2017 год </t>
  </si>
  <si>
    <t xml:space="preserve">2018 год </t>
  </si>
  <si>
    <t xml:space="preserve">2019 год </t>
  </si>
  <si>
    <t xml:space="preserve">2020 год </t>
  </si>
  <si>
    <r>
      <t xml:space="preserve">Инвестиционная программа  </t>
    </r>
    <r>
      <rPr>
        <u val="single"/>
        <sz val="14"/>
        <color indexed="8"/>
        <rFont val="Times New Roman"/>
        <family val="1"/>
      </rPr>
      <t>ЗАО "Нерюнгринские районные электрические сети"</t>
    </r>
  </si>
  <si>
    <t>Год раскрытия информации:  2016 - 2020 гг.</t>
  </si>
  <si>
    <r>
      <t xml:space="preserve">Утвержденные плановые значения показателей приведены в соответствии с  </t>
    </r>
    <r>
      <rPr>
        <u val="single"/>
        <sz val="14"/>
        <rFont val="Times New Roman"/>
        <family val="1"/>
      </rPr>
      <t>Приказом Министерства жилищно-коммунального хозяйства и энергетики Республики Саха (Якутия) от 12.10.2015 г. № 437-п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</si>
</sst>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_-* #,##0.000_р_._-;\-* #,##0.000_р_._-;_-* &quot;-&quot;?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textRotation="90" wrapText="1"/>
    </xf>
    <xf numFmtId="176" fontId="12" fillId="0" borderId="12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176" fontId="13" fillId="33" borderId="13" xfId="0" applyNumberFormat="1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176" fontId="13" fillId="7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76" fontId="13" fillId="0" borderId="14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176" fontId="13" fillId="33" borderId="14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76" fontId="13" fillId="0" borderId="15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 vertical="center"/>
    </xf>
    <xf numFmtId="0" fontId="12" fillId="0" borderId="18" xfId="0" applyFont="1" applyFill="1" applyBorder="1" applyAlignment="1">
      <alignment/>
    </xf>
    <xf numFmtId="171" fontId="13" fillId="0" borderId="12" xfId="6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14" fillId="33" borderId="19" xfId="0" applyNumberFormat="1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171" fontId="13" fillId="33" borderId="13" xfId="60" applyFont="1" applyFill="1" applyBorder="1" applyAlignment="1">
      <alignment/>
    </xf>
    <xf numFmtId="49" fontId="14" fillId="7" borderId="20" xfId="0" applyNumberFormat="1" applyFont="1" applyFill="1" applyBorder="1" applyAlignment="1">
      <alignment horizontal="center" vertical="center"/>
    </xf>
    <xf numFmtId="49" fontId="14" fillId="7" borderId="14" xfId="0" applyNumberFormat="1" applyFont="1" applyFill="1" applyBorder="1" applyAlignment="1">
      <alignment horizontal="center" vertical="center"/>
    </xf>
    <xf numFmtId="171" fontId="13" fillId="7" borderId="14" xfId="60" applyFont="1" applyFill="1" applyBorder="1" applyAlignment="1">
      <alignment/>
    </xf>
    <xf numFmtId="49" fontId="14" fillId="0" borderId="20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71" fontId="13" fillId="0" borderId="14" xfId="60" applyFont="1" applyFill="1" applyBorder="1" applyAlignment="1">
      <alignment/>
    </xf>
    <xf numFmtId="49" fontId="14" fillId="33" borderId="20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171" fontId="13" fillId="33" borderId="14" xfId="60" applyFont="1" applyFill="1" applyBorder="1" applyAlignment="1">
      <alignment/>
    </xf>
    <xf numFmtId="49" fontId="14" fillId="0" borderId="21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171" fontId="13" fillId="0" borderId="15" xfId="6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176" fontId="12" fillId="0" borderId="23" xfId="0" applyNumberFormat="1" applyFont="1" applyFill="1" applyBorder="1" applyAlignment="1">
      <alignment horizontal="center"/>
    </xf>
    <xf numFmtId="176" fontId="13" fillId="33" borderId="24" xfId="0" applyNumberFormat="1" applyFont="1" applyFill="1" applyBorder="1" applyAlignment="1">
      <alignment horizontal="center"/>
    </xf>
    <xf numFmtId="176" fontId="13" fillId="7" borderId="25" xfId="0" applyNumberFormat="1" applyFont="1" applyFill="1" applyBorder="1" applyAlignment="1">
      <alignment horizontal="center"/>
    </xf>
    <xf numFmtId="176" fontId="13" fillId="0" borderId="25" xfId="0" applyNumberFormat="1" applyFont="1" applyFill="1" applyBorder="1" applyAlignment="1">
      <alignment horizontal="center"/>
    </xf>
    <xf numFmtId="171" fontId="13" fillId="0" borderId="25" xfId="60" applyFont="1" applyFill="1" applyBorder="1" applyAlignment="1">
      <alignment/>
    </xf>
    <xf numFmtId="176" fontId="13" fillId="33" borderId="25" xfId="0" applyNumberFormat="1" applyFont="1" applyFill="1" applyBorder="1" applyAlignment="1">
      <alignment horizontal="center"/>
    </xf>
    <xf numFmtId="176" fontId="13" fillId="0" borderId="15" xfId="0" applyNumberFormat="1" applyFont="1" applyFill="1" applyBorder="1" applyAlignment="1">
      <alignment horizontal="center"/>
    </xf>
    <xf numFmtId="171" fontId="13" fillId="0" borderId="26" xfId="60" applyFont="1" applyFill="1" applyBorder="1" applyAlignment="1">
      <alignment/>
    </xf>
    <xf numFmtId="0" fontId="15" fillId="33" borderId="27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T30"/>
  <sheetViews>
    <sheetView tabSelected="1" zoomScale="90" zoomScaleNormal="90" zoomScalePageLayoutView="0" workbookViewId="0" topLeftCell="X15">
      <selection activeCell="AI18" sqref="AI18:AI30"/>
    </sheetView>
  </sheetViews>
  <sheetFormatPr defaultColWidth="9.00390625" defaultRowHeight="15.75" customHeight="1"/>
  <cols>
    <col min="1" max="1" width="8.25390625" style="2" customWidth="1"/>
    <col min="2" max="2" width="52.125" style="2" customWidth="1"/>
    <col min="3" max="3" width="9.125" style="2" customWidth="1"/>
    <col min="4" max="4" width="8.75390625" style="2" customWidth="1"/>
    <col min="5" max="5" width="8.25390625" style="2" customWidth="1"/>
    <col min="6" max="6" width="9.125" style="2" customWidth="1"/>
    <col min="7" max="7" width="10.375" style="2" customWidth="1"/>
    <col min="8" max="8" width="8.75390625" style="2" customWidth="1"/>
    <col min="9" max="9" width="9.125" style="2" customWidth="1"/>
    <col min="10" max="10" width="16.875" style="2" customWidth="1"/>
    <col min="11" max="11" width="9.625" style="2" customWidth="1"/>
    <col min="12" max="12" width="8.625" style="1" customWidth="1"/>
    <col min="13" max="13" width="10.875" style="1" customWidth="1"/>
    <col min="14" max="14" width="10.00390625" style="1" customWidth="1"/>
    <col min="15" max="15" width="9.00390625" style="1" customWidth="1"/>
    <col min="16" max="16" width="7.375" style="1" customWidth="1"/>
    <col min="17" max="17" width="7.75390625" style="1" customWidth="1"/>
    <col min="18" max="18" width="8.625" style="1" customWidth="1"/>
    <col min="19" max="20" width="9.625" style="1" customWidth="1"/>
    <col min="21" max="21" width="10.00390625" style="1" customWidth="1"/>
    <col min="22" max="22" width="10.875" style="1" customWidth="1"/>
    <col min="23" max="24" width="10.125" style="1" customWidth="1"/>
    <col min="25" max="26" width="11.00390625" style="1" customWidth="1"/>
    <col min="27" max="28" width="12.375" style="1" customWidth="1"/>
    <col min="29" max="30" width="12.25390625" style="1" customWidth="1"/>
    <col min="31" max="31" width="11.875" style="1" customWidth="1"/>
    <col min="32" max="32" width="12.625" style="1" customWidth="1"/>
    <col min="33" max="33" width="13.125" style="1" customWidth="1"/>
    <col min="34" max="34" width="14.875" style="1" customWidth="1"/>
    <col min="35" max="36" width="12.25390625" style="1" customWidth="1"/>
    <col min="37" max="37" width="15.875" style="1" customWidth="1"/>
    <col min="38" max="38" width="14.75390625" style="1" customWidth="1"/>
    <col min="39" max="39" width="18.125" style="1" customWidth="1"/>
    <col min="40" max="40" width="8.25390625" style="1" customWidth="1"/>
    <col min="41" max="41" width="11.25390625" style="1" customWidth="1"/>
    <col min="42" max="42" width="8.125" style="1" customWidth="1"/>
    <col min="43" max="43" width="6.875" style="2" customWidth="1"/>
    <col min="44" max="44" width="9.625" style="2" customWidth="1"/>
    <col min="45" max="45" width="6.375" style="2" customWidth="1"/>
    <col min="46" max="46" width="8.375" style="2" customWidth="1"/>
    <col min="47" max="47" width="11.375" style="2" customWidth="1"/>
    <col min="48" max="48" width="9.00390625" style="2" customWidth="1"/>
    <col min="49" max="49" width="7.75390625" style="2" customWidth="1"/>
    <col min="50" max="50" width="9.125" style="2" customWidth="1"/>
    <col min="51" max="51" width="7.00390625" style="2" customWidth="1"/>
    <col min="52" max="52" width="7.75390625" style="2" customWidth="1"/>
    <col min="53" max="53" width="10.75390625" style="2" customWidth="1"/>
    <col min="54" max="54" width="8.375" style="2" customWidth="1"/>
    <col min="55" max="61" width="8.25390625" style="2" customWidth="1"/>
    <col min="62" max="62" width="9.875" style="2" customWidth="1"/>
    <col min="63" max="63" width="7.00390625" style="2" customWidth="1"/>
    <col min="64" max="64" width="7.875" style="2" customWidth="1"/>
    <col min="65" max="65" width="11.00390625" style="2" customWidth="1"/>
    <col min="66" max="66" width="7.75390625" style="2" customWidth="1"/>
    <col min="67" max="67" width="8.875" style="2" customWidth="1"/>
    <col min="68" max="16384" width="9.125" style="2" customWidth="1"/>
  </cols>
  <sheetData>
    <row r="1" spans="1:47" s="19" customFormat="1" ht="11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8" t="s">
        <v>0</v>
      </c>
      <c r="AN1" s="17"/>
      <c r="AO1" s="17"/>
      <c r="AP1" s="17"/>
      <c r="AQ1" s="17"/>
      <c r="AR1" s="17"/>
      <c r="AS1" s="17"/>
      <c r="AT1" s="17"/>
      <c r="AU1" s="17"/>
    </row>
    <row r="2" spans="1:47" s="19" customFormat="1" ht="11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20" t="s">
        <v>1</v>
      </c>
      <c r="AN2" s="17"/>
      <c r="AO2" s="17"/>
      <c r="AP2" s="17"/>
      <c r="AQ2" s="17"/>
      <c r="AR2" s="17"/>
      <c r="AS2" s="17"/>
      <c r="AT2" s="17"/>
      <c r="AU2" s="17"/>
    </row>
    <row r="3" spans="1:47" s="19" customFormat="1" ht="11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20" t="s">
        <v>37</v>
      </c>
      <c r="AN3" s="17"/>
      <c r="AO3" s="17"/>
      <c r="AP3" s="17"/>
      <c r="AQ3" s="17"/>
      <c r="AR3" s="17"/>
      <c r="AS3" s="17"/>
      <c r="AT3" s="17"/>
      <c r="AU3" s="17"/>
    </row>
    <row r="4" spans="1:47" ht="18.75" customHeight="1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Q4" s="1"/>
      <c r="AR4" s="1"/>
      <c r="AS4" s="1"/>
      <c r="AT4" s="1"/>
      <c r="AU4" s="1"/>
    </row>
    <row r="5" spans="1:70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2" ht="18.75" customHeight="1">
      <c r="A6" s="76" t="s">
        <v>67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6"/>
      <c r="AO6" s="6"/>
      <c r="AP6" s="6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ht="15.75" customHeight="1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47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AL8" s="3"/>
      <c r="AQ8" s="1"/>
      <c r="AR8" s="1"/>
      <c r="AS8" s="1"/>
      <c r="AT8" s="1"/>
      <c r="AU8" s="1"/>
    </row>
    <row r="9" spans="1:69" ht="18.75" customHeight="1">
      <c r="A9" s="78" t="s">
        <v>68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18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72" ht="18.75" customHeight="1">
      <c r="A11" s="78" t="s">
        <v>69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</row>
    <row r="12" spans="1:72" ht="15.75" customHeight="1">
      <c r="A12" s="79" t="s">
        <v>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</row>
    <row r="13" spans="1:67" ht="15.75" customHeight="1" thickBo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12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34.5" customHeight="1" thickBot="1">
      <c r="A14" s="72" t="s">
        <v>5</v>
      </c>
      <c r="B14" s="72" t="s">
        <v>6</v>
      </c>
      <c r="C14" s="81" t="s">
        <v>38</v>
      </c>
      <c r="D14" s="82" t="s">
        <v>7</v>
      </c>
      <c r="E14" s="82" t="s">
        <v>8</v>
      </c>
      <c r="F14" s="72" t="s">
        <v>9</v>
      </c>
      <c r="G14" s="72"/>
      <c r="H14" s="73" t="s">
        <v>10</v>
      </c>
      <c r="I14" s="73"/>
      <c r="J14" s="74" t="s">
        <v>58</v>
      </c>
      <c r="K14" s="72" t="s">
        <v>11</v>
      </c>
      <c r="L14" s="72"/>
      <c r="M14" s="72"/>
      <c r="N14" s="72"/>
      <c r="O14" s="72"/>
      <c r="P14" s="72"/>
      <c r="Q14" s="72"/>
      <c r="R14" s="72"/>
      <c r="S14" s="72"/>
      <c r="T14" s="72"/>
      <c r="U14" s="72" t="s">
        <v>12</v>
      </c>
      <c r="V14" s="72"/>
      <c r="W14" s="72"/>
      <c r="X14" s="72"/>
      <c r="Y14" s="72"/>
      <c r="Z14" s="72"/>
      <c r="AA14" s="81" t="s">
        <v>62</v>
      </c>
      <c r="AB14" s="72"/>
      <c r="AC14" s="83" t="s">
        <v>13</v>
      </c>
      <c r="AD14" s="83"/>
      <c r="AE14" s="83"/>
      <c r="AF14" s="83"/>
      <c r="AG14" s="83"/>
      <c r="AH14" s="83"/>
      <c r="AI14" s="83"/>
      <c r="AJ14" s="83"/>
      <c r="AK14" s="83"/>
      <c r="AL14" s="83"/>
      <c r="AM14" s="72" t="s">
        <v>14</v>
      </c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52.5" customHeight="1" thickBot="1">
      <c r="A15" s="72"/>
      <c r="B15" s="72"/>
      <c r="C15" s="72"/>
      <c r="D15" s="82"/>
      <c r="E15" s="82"/>
      <c r="F15" s="72"/>
      <c r="G15" s="72"/>
      <c r="H15" s="73"/>
      <c r="I15" s="73"/>
      <c r="J15" s="73"/>
      <c r="K15" s="72" t="s">
        <v>15</v>
      </c>
      <c r="L15" s="72"/>
      <c r="M15" s="72"/>
      <c r="N15" s="72"/>
      <c r="O15" s="72"/>
      <c r="P15" s="72" t="s">
        <v>16</v>
      </c>
      <c r="Q15" s="72"/>
      <c r="R15" s="72"/>
      <c r="S15" s="72"/>
      <c r="T15" s="72"/>
      <c r="U15" s="81" t="s">
        <v>59</v>
      </c>
      <c r="V15" s="72"/>
      <c r="W15" s="81" t="s">
        <v>60</v>
      </c>
      <c r="X15" s="72"/>
      <c r="Y15" s="81" t="s">
        <v>61</v>
      </c>
      <c r="Z15" s="72"/>
      <c r="AA15" s="72"/>
      <c r="AB15" s="72"/>
      <c r="AC15" s="71" t="s">
        <v>63</v>
      </c>
      <c r="AD15" s="71"/>
      <c r="AE15" s="71" t="s">
        <v>64</v>
      </c>
      <c r="AF15" s="71"/>
      <c r="AG15" s="71" t="s">
        <v>65</v>
      </c>
      <c r="AH15" s="71"/>
      <c r="AI15" s="71" t="s">
        <v>66</v>
      </c>
      <c r="AJ15" s="71"/>
      <c r="AK15" s="72" t="s">
        <v>17</v>
      </c>
      <c r="AL15" s="72" t="s">
        <v>18</v>
      </c>
      <c r="AM15" s="72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15.5" customHeight="1" thickBot="1">
      <c r="A16" s="72"/>
      <c r="B16" s="72"/>
      <c r="C16" s="72"/>
      <c r="D16" s="82"/>
      <c r="E16" s="82"/>
      <c r="F16" s="15" t="s">
        <v>15</v>
      </c>
      <c r="G16" s="15" t="s">
        <v>19</v>
      </c>
      <c r="H16" s="16" t="s">
        <v>20</v>
      </c>
      <c r="I16" s="16" t="s">
        <v>19</v>
      </c>
      <c r="J16" s="73"/>
      <c r="K16" s="21" t="s">
        <v>39</v>
      </c>
      <c r="L16" s="14" t="s">
        <v>21</v>
      </c>
      <c r="M16" s="14" t="s">
        <v>22</v>
      </c>
      <c r="N16" s="14" t="s">
        <v>23</v>
      </c>
      <c r="O16" s="14" t="s">
        <v>24</v>
      </c>
      <c r="P16" s="21" t="s">
        <v>39</v>
      </c>
      <c r="Q16" s="14" t="s">
        <v>21</v>
      </c>
      <c r="R16" s="14" t="s">
        <v>22</v>
      </c>
      <c r="S16" s="14" t="s">
        <v>23</v>
      </c>
      <c r="T16" s="14" t="s">
        <v>24</v>
      </c>
      <c r="U16" s="14" t="s">
        <v>25</v>
      </c>
      <c r="V16" s="14" t="s">
        <v>26</v>
      </c>
      <c r="W16" s="14" t="s">
        <v>25</v>
      </c>
      <c r="X16" s="14" t="s">
        <v>26</v>
      </c>
      <c r="Y16" s="14" t="s">
        <v>25</v>
      </c>
      <c r="Z16" s="14" t="s">
        <v>26</v>
      </c>
      <c r="AA16" s="13" t="s">
        <v>27</v>
      </c>
      <c r="AB16" s="13" t="s">
        <v>28</v>
      </c>
      <c r="AC16" s="13" t="s">
        <v>29</v>
      </c>
      <c r="AD16" s="13" t="s">
        <v>28</v>
      </c>
      <c r="AE16" s="13" t="s">
        <v>29</v>
      </c>
      <c r="AF16" s="13" t="s">
        <v>30</v>
      </c>
      <c r="AG16" s="13" t="s">
        <v>29</v>
      </c>
      <c r="AH16" s="13" t="s">
        <v>30</v>
      </c>
      <c r="AI16" s="13" t="s">
        <v>29</v>
      </c>
      <c r="AJ16" s="13" t="s">
        <v>30</v>
      </c>
      <c r="AK16" s="72"/>
      <c r="AL16" s="72"/>
      <c r="AM16" s="72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9.5" customHeight="1" thickBot="1">
      <c r="A17" s="56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  <c r="P17" s="56">
        <v>16</v>
      </c>
      <c r="Q17" s="56">
        <v>17</v>
      </c>
      <c r="R17" s="56">
        <v>18</v>
      </c>
      <c r="S17" s="56">
        <v>19</v>
      </c>
      <c r="T17" s="56">
        <v>20</v>
      </c>
      <c r="U17" s="56">
        <v>21</v>
      </c>
      <c r="V17" s="56">
        <v>22</v>
      </c>
      <c r="W17" s="56">
        <v>23</v>
      </c>
      <c r="X17" s="56">
        <v>24</v>
      </c>
      <c r="Y17" s="56">
        <v>25</v>
      </c>
      <c r="Z17" s="56">
        <v>26</v>
      </c>
      <c r="AA17" s="56">
        <v>27</v>
      </c>
      <c r="AB17" s="56">
        <v>28</v>
      </c>
      <c r="AC17" s="57" t="s">
        <v>31</v>
      </c>
      <c r="AD17" s="57" t="s">
        <v>32</v>
      </c>
      <c r="AE17" s="57" t="s">
        <v>33</v>
      </c>
      <c r="AF17" s="57" t="s">
        <v>34</v>
      </c>
      <c r="AG17" s="57" t="s">
        <v>35</v>
      </c>
      <c r="AH17" s="57" t="s">
        <v>36</v>
      </c>
      <c r="AI17" s="57" t="s">
        <v>35</v>
      </c>
      <c r="AJ17" s="57" t="s">
        <v>36</v>
      </c>
      <c r="AK17" s="56">
        <v>30</v>
      </c>
      <c r="AL17" s="56">
        <v>31</v>
      </c>
      <c r="AM17" s="56">
        <v>32</v>
      </c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s="40" customFormat="1" ht="22.5" customHeight="1" thickBot="1">
      <c r="A18" s="34" t="s">
        <v>40</v>
      </c>
      <c r="B18" s="35" t="s">
        <v>41</v>
      </c>
      <c r="C18" s="36" t="s">
        <v>40</v>
      </c>
      <c r="D18" s="37"/>
      <c r="E18" s="37"/>
      <c r="F18" s="37"/>
      <c r="G18" s="37"/>
      <c r="H18" s="38">
        <f aca="true" t="shared" si="0" ref="H18:N18">H19+H25</f>
        <v>0</v>
      </c>
      <c r="I18" s="38">
        <f t="shared" si="0"/>
        <v>0</v>
      </c>
      <c r="J18" s="22">
        <f t="shared" si="0"/>
        <v>55.056728385737685</v>
      </c>
      <c r="K18" s="22">
        <f t="shared" si="0"/>
        <v>55.056728385737685</v>
      </c>
      <c r="L18" s="22">
        <f t="shared" si="0"/>
        <v>0.1905752666262463</v>
      </c>
      <c r="M18" s="22">
        <f t="shared" si="0"/>
        <v>14.04144766600713</v>
      </c>
      <c r="N18" s="22">
        <f t="shared" si="0"/>
        <v>34.21754971939383</v>
      </c>
      <c r="O18" s="22">
        <f aca="true" t="shared" si="1" ref="O18:T18">O19+O25</f>
        <v>6.607155733710482</v>
      </c>
      <c r="P18" s="38">
        <f t="shared" si="1"/>
        <v>0</v>
      </c>
      <c r="Q18" s="38">
        <f t="shared" si="1"/>
        <v>0</v>
      </c>
      <c r="R18" s="38">
        <f t="shared" si="1"/>
        <v>0</v>
      </c>
      <c r="S18" s="38">
        <f t="shared" si="1"/>
        <v>0</v>
      </c>
      <c r="T18" s="38">
        <f t="shared" si="1"/>
        <v>0</v>
      </c>
      <c r="U18" s="38">
        <f aca="true" t="shared" si="2" ref="U18:AL18">U19+U25</f>
        <v>0</v>
      </c>
      <c r="V18" s="22">
        <f t="shared" si="2"/>
        <v>55.056728385737685</v>
      </c>
      <c r="W18" s="38">
        <f t="shared" si="2"/>
        <v>0</v>
      </c>
      <c r="X18" s="22">
        <f t="shared" si="2"/>
        <v>55.056728385737685</v>
      </c>
      <c r="Y18" s="38">
        <f t="shared" si="2"/>
        <v>0</v>
      </c>
      <c r="Z18" s="38">
        <f t="shared" si="2"/>
        <v>0</v>
      </c>
      <c r="AA18" s="22">
        <f t="shared" si="2"/>
        <v>7.6668</v>
      </c>
      <c r="AB18" s="22">
        <f t="shared" si="2"/>
        <v>10.978</v>
      </c>
      <c r="AC18" s="22">
        <f t="shared" si="2"/>
        <v>11.652199999999999</v>
      </c>
      <c r="AD18" s="38">
        <f t="shared" si="2"/>
        <v>0</v>
      </c>
      <c r="AE18" s="22">
        <f t="shared" si="2"/>
        <v>11.7712</v>
      </c>
      <c r="AF18" s="38">
        <f t="shared" si="2"/>
        <v>0</v>
      </c>
      <c r="AG18" s="22">
        <f t="shared" si="2"/>
        <v>11.9278</v>
      </c>
      <c r="AH18" s="38">
        <f t="shared" si="2"/>
        <v>0</v>
      </c>
      <c r="AI18" s="22">
        <f t="shared" si="2"/>
        <v>12.039</v>
      </c>
      <c r="AJ18" s="38">
        <f t="shared" si="2"/>
        <v>0</v>
      </c>
      <c r="AK18" s="22">
        <f t="shared" si="2"/>
        <v>55.057</v>
      </c>
      <c r="AL18" s="22">
        <f t="shared" si="2"/>
        <v>10.978</v>
      </c>
      <c r="AM18" s="58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</row>
    <row r="19" spans="1:42" s="40" customFormat="1" ht="20.25" customHeight="1">
      <c r="A19" s="41" t="s">
        <v>40</v>
      </c>
      <c r="B19" s="66" t="s">
        <v>42</v>
      </c>
      <c r="C19" s="42" t="s">
        <v>40</v>
      </c>
      <c r="D19" s="23"/>
      <c r="E19" s="23"/>
      <c r="F19" s="23"/>
      <c r="G19" s="23"/>
      <c r="H19" s="43">
        <f>H20</f>
        <v>0</v>
      </c>
      <c r="I19" s="43">
        <f>I20</f>
        <v>0</v>
      </c>
      <c r="J19" s="24">
        <f aca="true" t="shared" si="3" ref="J19:AL19">J20</f>
        <v>44.05110300000004</v>
      </c>
      <c r="K19" s="24">
        <f t="shared" si="3"/>
        <v>44.05110300000004</v>
      </c>
      <c r="L19" s="24">
        <f t="shared" si="3"/>
        <v>0.07311763950760221</v>
      </c>
      <c r="M19" s="24">
        <f t="shared" si="3"/>
        <v>9.05331207278679</v>
      </c>
      <c r="N19" s="24">
        <f t="shared" si="3"/>
        <v>28.985346329563317</v>
      </c>
      <c r="O19" s="24">
        <f t="shared" si="3"/>
        <v>5.939326958142331</v>
      </c>
      <c r="P19" s="43">
        <f t="shared" si="3"/>
        <v>0</v>
      </c>
      <c r="Q19" s="43">
        <f t="shared" si="3"/>
        <v>0</v>
      </c>
      <c r="R19" s="43">
        <f t="shared" si="3"/>
        <v>0</v>
      </c>
      <c r="S19" s="43">
        <f t="shared" si="3"/>
        <v>0</v>
      </c>
      <c r="T19" s="43">
        <f t="shared" si="3"/>
        <v>0</v>
      </c>
      <c r="U19" s="43">
        <f t="shared" si="3"/>
        <v>0</v>
      </c>
      <c r="V19" s="24">
        <f t="shared" si="3"/>
        <v>44.05110300000004</v>
      </c>
      <c r="W19" s="43">
        <f t="shared" si="3"/>
        <v>0</v>
      </c>
      <c r="X19" s="24">
        <f t="shared" si="3"/>
        <v>44.05110300000004</v>
      </c>
      <c r="Y19" s="43">
        <f t="shared" si="3"/>
        <v>0</v>
      </c>
      <c r="Z19" s="43">
        <f t="shared" si="3"/>
        <v>0</v>
      </c>
      <c r="AA19" s="24">
        <f t="shared" si="3"/>
        <v>5.6174</v>
      </c>
      <c r="AB19" s="24">
        <f t="shared" si="3"/>
        <v>8.032</v>
      </c>
      <c r="AC19" s="24">
        <f t="shared" si="3"/>
        <v>9.6024</v>
      </c>
      <c r="AD19" s="43">
        <f t="shared" si="3"/>
        <v>0</v>
      </c>
      <c r="AE19" s="24">
        <f t="shared" si="3"/>
        <v>10.3154</v>
      </c>
      <c r="AF19" s="43">
        <f t="shared" si="3"/>
        <v>0</v>
      </c>
      <c r="AG19" s="24">
        <f t="shared" si="3"/>
        <v>11.067</v>
      </c>
      <c r="AH19" s="43">
        <f t="shared" si="3"/>
        <v>0</v>
      </c>
      <c r="AI19" s="24">
        <f t="shared" si="3"/>
        <v>7.449</v>
      </c>
      <c r="AJ19" s="43">
        <f t="shared" si="3"/>
        <v>0</v>
      </c>
      <c r="AK19" s="24">
        <f t="shared" si="3"/>
        <v>44.0512</v>
      </c>
      <c r="AL19" s="24">
        <f t="shared" si="3"/>
        <v>8.032</v>
      </c>
      <c r="AM19" s="59"/>
      <c r="AN19" s="39"/>
      <c r="AO19" s="39"/>
      <c r="AP19" s="39"/>
    </row>
    <row r="20" spans="1:42" s="40" customFormat="1" ht="22.5" customHeight="1">
      <c r="A20" s="44" t="s">
        <v>40</v>
      </c>
      <c r="B20" s="67" t="s">
        <v>43</v>
      </c>
      <c r="C20" s="45" t="s">
        <v>40</v>
      </c>
      <c r="D20" s="25"/>
      <c r="E20" s="25"/>
      <c r="F20" s="25"/>
      <c r="G20" s="25"/>
      <c r="H20" s="46">
        <f aca="true" t="shared" si="4" ref="H20:O20">H21+H22+H23+H24</f>
        <v>0</v>
      </c>
      <c r="I20" s="46">
        <f t="shared" si="4"/>
        <v>0</v>
      </c>
      <c r="J20" s="26">
        <f t="shared" si="4"/>
        <v>44.05110300000004</v>
      </c>
      <c r="K20" s="26">
        <f t="shared" si="4"/>
        <v>44.05110300000004</v>
      </c>
      <c r="L20" s="26">
        <f t="shared" si="4"/>
        <v>0.07311763950760221</v>
      </c>
      <c r="M20" s="26">
        <f t="shared" si="4"/>
        <v>9.05331207278679</v>
      </c>
      <c r="N20" s="26">
        <f t="shared" si="4"/>
        <v>28.985346329563317</v>
      </c>
      <c r="O20" s="26">
        <f t="shared" si="4"/>
        <v>5.939326958142331</v>
      </c>
      <c r="P20" s="46">
        <f aca="true" t="shared" si="5" ref="P20:Y20">P21+P22+P23+P24</f>
        <v>0</v>
      </c>
      <c r="Q20" s="46">
        <f t="shared" si="5"/>
        <v>0</v>
      </c>
      <c r="R20" s="46">
        <f t="shared" si="5"/>
        <v>0</v>
      </c>
      <c r="S20" s="46">
        <f t="shared" si="5"/>
        <v>0</v>
      </c>
      <c r="T20" s="46">
        <f t="shared" si="5"/>
        <v>0</v>
      </c>
      <c r="U20" s="46">
        <f t="shared" si="5"/>
        <v>0</v>
      </c>
      <c r="V20" s="26">
        <f>V21+V22+V23+V24</f>
        <v>44.05110300000004</v>
      </c>
      <c r="W20" s="46">
        <f t="shared" si="5"/>
        <v>0</v>
      </c>
      <c r="X20" s="26">
        <f>X21+X22+X23+X24</f>
        <v>44.05110300000004</v>
      </c>
      <c r="Y20" s="46">
        <f t="shared" si="5"/>
        <v>0</v>
      </c>
      <c r="Z20" s="46">
        <f aca="true" t="shared" si="6" ref="Z20:AL20">Z21+Z22+Z23+Z24</f>
        <v>0</v>
      </c>
      <c r="AA20" s="26">
        <f t="shared" si="6"/>
        <v>5.6174</v>
      </c>
      <c r="AB20" s="26">
        <f t="shared" si="6"/>
        <v>8.032</v>
      </c>
      <c r="AC20" s="26">
        <f t="shared" si="6"/>
        <v>9.6024</v>
      </c>
      <c r="AD20" s="46">
        <f t="shared" si="6"/>
        <v>0</v>
      </c>
      <c r="AE20" s="26">
        <f t="shared" si="6"/>
        <v>10.3154</v>
      </c>
      <c r="AF20" s="46">
        <f t="shared" si="6"/>
        <v>0</v>
      </c>
      <c r="AG20" s="26">
        <f t="shared" si="6"/>
        <v>11.067</v>
      </c>
      <c r="AH20" s="46">
        <f t="shared" si="6"/>
        <v>0</v>
      </c>
      <c r="AI20" s="26">
        <f t="shared" si="6"/>
        <v>7.449</v>
      </c>
      <c r="AJ20" s="46">
        <f t="shared" si="6"/>
        <v>0</v>
      </c>
      <c r="AK20" s="26">
        <f t="shared" si="6"/>
        <v>44.0512</v>
      </c>
      <c r="AL20" s="26">
        <f t="shared" si="6"/>
        <v>8.032</v>
      </c>
      <c r="AM20" s="60"/>
      <c r="AN20" s="39"/>
      <c r="AO20" s="39"/>
      <c r="AP20" s="39"/>
    </row>
    <row r="21" spans="1:42" s="40" customFormat="1" ht="22.5" customHeight="1">
      <c r="A21" s="47" t="s">
        <v>40</v>
      </c>
      <c r="B21" s="68" t="s">
        <v>44</v>
      </c>
      <c r="C21" s="48" t="s">
        <v>40</v>
      </c>
      <c r="D21" s="27" t="s">
        <v>45</v>
      </c>
      <c r="E21" s="27">
        <v>2016</v>
      </c>
      <c r="F21" s="27">
        <v>2017</v>
      </c>
      <c r="G21" s="27" t="s">
        <v>46</v>
      </c>
      <c r="H21" s="49">
        <v>0</v>
      </c>
      <c r="I21" s="49">
        <v>0</v>
      </c>
      <c r="J21" s="28">
        <v>8.772505661016956</v>
      </c>
      <c r="K21" s="28">
        <f>SUM(L21:O21)</f>
        <v>8.772505661016956</v>
      </c>
      <c r="L21" s="28">
        <f>0.0150708044765469/1.18</f>
        <v>0.012771868200463474</v>
      </c>
      <c r="M21" s="28">
        <f>2.66458935859579/1.18</f>
        <v>2.258126575081178</v>
      </c>
      <c r="N21" s="28">
        <f>6.00375015445724/1.18</f>
        <v>5.087923859709526</v>
      </c>
      <c r="O21" s="28">
        <f>1.66814636247043/1.18</f>
        <v>1.4136833580257882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28">
        <v>8.772505661016956</v>
      </c>
      <c r="W21" s="49">
        <v>0</v>
      </c>
      <c r="X21" s="28">
        <v>8.772505661016956</v>
      </c>
      <c r="Y21" s="49">
        <v>0</v>
      </c>
      <c r="Z21" s="49">
        <v>0</v>
      </c>
      <c r="AA21" s="28">
        <v>5.6174</v>
      </c>
      <c r="AB21" s="28">
        <v>8.032</v>
      </c>
      <c r="AC21" s="28">
        <v>3.155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28">
        <f>AA21+AC21+AE21+AG21+AI21</f>
        <v>8.7724</v>
      </c>
      <c r="AL21" s="28">
        <f>AB21+AD21+AF21+AH21+AJ21</f>
        <v>8.032</v>
      </c>
      <c r="AM21" s="61"/>
      <c r="AN21" s="39"/>
      <c r="AO21" s="39"/>
      <c r="AP21" s="39"/>
    </row>
    <row r="22" spans="1:42" s="40" customFormat="1" ht="22.5" customHeight="1">
      <c r="A22" s="47" t="s">
        <v>40</v>
      </c>
      <c r="B22" s="68" t="s">
        <v>47</v>
      </c>
      <c r="C22" s="48" t="s">
        <v>40</v>
      </c>
      <c r="D22" s="27" t="s">
        <v>48</v>
      </c>
      <c r="E22" s="27">
        <v>2017</v>
      </c>
      <c r="F22" s="27">
        <v>2018</v>
      </c>
      <c r="G22" s="27" t="s">
        <v>46</v>
      </c>
      <c r="H22" s="49">
        <v>0</v>
      </c>
      <c r="I22" s="49">
        <v>0</v>
      </c>
      <c r="J22" s="28">
        <v>11.160533525423736</v>
      </c>
      <c r="K22" s="28">
        <f>SUM(L22:O22)</f>
        <v>11.160533525423736</v>
      </c>
      <c r="L22" s="28">
        <f>0.022770997681805/1.18</f>
        <v>0.01929745566254661</v>
      </c>
      <c r="M22" s="28">
        <f>2.51254979106093/1.18</f>
        <v>2.129279483949941</v>
      </c>
      <c r="N22" s="28">
        <f>8.93370527227381/1.18</f>
        <v>7.570936671418484</v>
      </c>
      <c r="O22" s="28">
        <f>1.70040349898346/1.18</f>
        <v>1.441019914392763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28">
        <v>11.160533525423736</v>
      </c>
      <c r="W22" s="49">
        <v>0</v>
      </c>
      <c r="X22" s="28">
        <v>11.160533525423736</v>
      </c>
      <c r="Y22" s="49">
        <v>0</v>
      </c>
      <c r="Z22" s="49">
        <v>0</v>
      </c>
      <c r="AA22" s="49">
        <v>0</v>
      </c>
      <c r="AB22" s="49">
        <v>0</v>
      </c>
      <c r="AC22" s="28">
        <v>6.4474</v>
      </c>
      <c r="AD22" s="49">
        <v>0</v>
      </c>
      <c r="AE22" s="28">
        <v>4.7134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28">
        <f aca="true" t="shared" si="7" ref="AK22:AL24">AA22+AC22+AE22+AG22+AI22</f>
        <v>11.1608</v>
      </c>
      <c r="AL22" s="49">
        <f t="shared" si="7"/>
        <v>0</v>
      </c>
      <c r="AM22" s="62"/>
      <c r="AN22" s="39"/>
      <c r="AO22" s="39"/>
      <c r="AP22" s="39"/>
    </row>
    <row r="23" spans="1:42" s="40" customFormat="1" ht="22.5" customHeight="1">
      <c r="A23" s="47" t="s">
        <v>40</v>
      </c>
      <c r="B23" s="68" t="s">
        <v>49</v>
      </c>
      <c r="C23" s="48" t="s">
        <v>40</v>
      </c>
      <c r="D23" s="27" t="s">
        <v>48</v>
      </c>
      <c r="E23" s="27">
        <v>2018</v>
      </c>
      <c r="F23" s="27">
        <v>2019</v>
      </c>
      <c r="G23" s="27" t="s">
        <v>46</v>
      </c>
      <c r="H23" s="49">
        <v>0</v>
      </c>
      <c r="I23" s="49">
        <v>0</v>
      </c>
      <c r="J23" s="28">
        <v>11.172050525423728</v>
      </c>
      <c r="K23" s="28">
        <f>SUM(L23:O23)</f>
        <v>11.172050525423728</v>
      </c>
      <c r="L23" s="28">
        <f>0.0230008137703673/1.18</f>
        <v>0.019492215059633305</v>
      </c>
      <c r="M23" s="28">
        <f>2.48991562846501/1.18</f>
        <v>2.110097990224585</v>
      </c>
      <c r="N23" s="28">
        <f>8.99119024985876/1.18</f>
        <v>7.6196527541175945</v>
      </c>
      <c r="O23" s="28">
        <f>1.67891292790586/1.18</f>
        <v>1.4228075660219155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28">
        <v>11.172050525423728</v>
      </c>
      <c r="W23" s="49">
        <v>0</v>
      </c>
      <c r="X23" s="28">
        <v>11.172050525423728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28">
        <v>5.602</v>
      </c>
      <c r="AF23" s="49">
        <v>0</v>
      </c>
      <c r="AG23" s="28">
        <v>5.57</v>
      </c>
      <c r="AH23" s="49">
        <v>0</v>
      </c>
      <c r="AI23" s="49">
        <v>0</v>
      </c>
      <c r="AJ23" s="49">
        <v>0</v>
      </c>
      <c r="AK23" s="28">
        <f t="shared" si="7"/>
        <v>11.172</v>
      </c>
      <c r="AL23" s="49">
        <f t="shared" si="7"/>
        <v>0</v>
      </c>
      <c r="AM23" s="62"/>
      <c r="AN23" s="39"/>
      <c r="AO23" s="39"/>
      <c r="AP23" s="39"/>
    </row>
    <row r="24" spans="1:42" s="40" customFormat="1" ht="22.5" customHeight="1">
      <c r="A24" s="47" t="s">
        <v>40</v>
      </c>
      <c r="B24" s="68" t="s">
        <v>50</v>
      </c>
      <c r="C24" s="48" t="s">
        <v>40</v>
      </c>
      <c r="D24" s="27" t="s">
        <v>48</v>
      </c>
      <c r="E24" s="27">
        <v>2019</v>
      </c>
      <c r="F24" s="27">
        <v>2020</v>
      </c>
      <c r="G24" s="27" t="s">
        <v>46</v>
      </c>
      <c r="H24" s="49">
        <v>0</v>
      </c>
      <c r="I24" s="49">
        <v>0</v>
      </c>
      <c r="J24" s="28">
        <v>12.946013288135621</v>
      </c>
      <c r="K24" s="28">
        <f>SUM(L24:O24)</f>
        <v>12.946013288135621</v>
      </c>
      <c r="L24" s="28">
        <f>0.0254361986902514/1.18</f>
        <v>0.021556100584958816</v>
      </c>
      <c r="M24" s="28">
        <f>3.01585346776668/1.18</f>
        <v>2.555808023531085</v>
      </c>
      <c r="N24" s="28">
        <f>10.2740629922949/1.18</f>
        <v>8.706833044317712</v>
      </c>
      <c r="O24" s="28">
        <f>1.9609430212482/1.18</f>
        <v>1.6618161197018644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28">
        <v>12.946013288135621</v>
      </c>
      <c r="W24" s="49">
        <v>0</v>
      </c>
      <c r="X24" s="28">
        <v>12.946013288135621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28">
        <v>5.497</v>
      </c>
      <c r="AH24" s="49">
        <v>0</v>
      </c>
      <c r="AI24" s="28">
        <v>7.449</v>
      </c>
      <c r="AJ24" s="49">
        <v>0</v>
      </c>
      <c r="AK24" s="28">
        <f t="shared" si="7"/>
        <v>12.946</v>
      </c>
      <c r="AL24" s="49">
        <f t="shared" si="7"/>
        <v>0</v>
      </c>
      <c r="AM24" s="62"/>
      <c r="AN24" s="39"/>
      <c r="AO24" s="39"/>
      <c r="AP24" s="39"/>
    </row>
    <row r="25" spans="1:42" s="40" customFormat="1" ht="22.5" customHeight="1">
      <c r="A25" s="50" t="s">
        <v>40</v>
      </c>
      <c r="B25" s="69" t="s">
        <v>51</v>
      </c>
      <c r="C25" s="51" t="s">
        <v>40</v>
      </c>
      <c r="D25" s="29"/>
      <c r="E25" s="29"/>
      <c r="F25" s="29"/>
      <c r="G25" s="29"/>
      <c r="H25" s="52">
        <f>H26+H28</f>
        <v>0</v>
      </c>
      <c r="I25" s="52">
        <f>I26+I28</f>
        <v>0</v>
      </c>
      <c r="J25" s="30">
        <f>J26+J28</f>
        <v>11.005625385737643</v>
      </c>
      <c r="K25" s="30">
        <f aca="true" t="shared" si="8" ref="K25:T25">K26+K28</f>
        <v>11.005625385737643</v>
      </c>
      <c r="L25" s="30">
        <f t="shared" si="8"/>
        <v>0.11745762711864408</v>
      </c>
      <c r="M25" s="30">
        <f t="shared" si="8"/>
        <v>4.988135593220339</v>
      </c>
      <c r="N25" s="30">
        <f t="shared" si="8"/>
        <v>5.232203389830509</v>
      </c>
      <c r="O25" s="30">
        <f t="shared" si="8"/>
        <v>0.6678287755681509</v>
      </c>
      <c r="P25" s="52">
        <f t="shared" si="8"/>
        <v>0</v>
      </c>
      <c r="Q25" s="52">
        <f t="shared" si="8"/>
        <v>0</v>
      </c>
      <c r="R25" s="52">
        <f t="shared" si="8"/>
        <v>0</v>
      </c>
      <c r="S25" s="52">
        <f t="shared" si="8"/>
        <v>0</v>
      </c>
      <c r="T25" s="52">
        <f t="shared" si="8"/>
        <v>0</v>
      </c>
      <c r="U25" s="52">
        <f aca="true" t="shared" si="9" ref="U25:AL25">U26+U28</f>
        <v>0</v>
      </c>
      <c r="V25" s="30">
        <f t="shared" si="9"/>
        <v>11.005625385737643</v>
      </c>
      <c r="W25" s="52">
        <f t="shared" si="9"/>
        <v>0</v>
      </c>
      <c r="X25" s="30">
        <f t="shared" si="9"/>
        <v>11.005625385737643</v>
      </c>
      <c r="Y25" s="52">
        <f t="shared" si="9"/>
        <v>0</v>
      </c>
      <c r="Z25" s="52">
        <f t="shared" si="9"/>
        <v>0</v>
      </c>
      <c r="AA25" s="30">
        <f t="shared" si="9"/>
        <v>2.0494</v>
      </c>
      <c r="AB25" s="30">
        <f t="shared" si="9"/>
        <v>2.946</v>
      </c>
      <c r="AC25" s="30">
        <f t="shared" si="9"/>
        <v>2.0498</v>
      </c>
      <c r="AD25" s="52">
        <f t="shared" si="9"/>
        <v>0</v>
      </c>
      <c r="AE25" s="30">
        <f t="shared" si="9"/>
        <v>1.4558</v>
      </c>
      <c r="AF25" s="52">
        <f t="shared" si="9"/>
        <v>0</v>
      </c>
      <c r="AG25" s="30">
        <f t="shared" si="9"/>
        <v>0.8608</v>
      </c>
      <c r="AH25" s="52">
        <f t="shared" si="9"/>
        <v>0</v>
      </c>
      <c r="AI25" s="30">
        <f t="shared" si="9"/>
        <v>4.59</v>
      </c>
      <c r="AJ25" s="52">
        <f t="shared" si="9"/>
        <v>0</v>
      </c>
      <c r="AK25" s="30">
        <f t="shared" si="9"/>
        <v>11.0058</v>
      </c>
      <c r="AL25" s="30">
        <f t="shared" si="9"/>
        <v>2.946</v>
      </c>
      <c r="AM25" s="63"/>
      <c r="AN25" s="39"/>
      <c r="AO25" s="39"/>
      <c r="AP25" s="39"/>
    </row>
    <row r="26" spans="1:42" s="40" customFormat="1" ht="22.5" customHeight="1">
      <c r="A26" s="44" t="s">
        <v>40</v>
      </c>
      <c r="B26" s="67" t="s">
        <v>43</v>
      </c>
      <c r="C26" s="45" t="s">
        <v>40</v>
      </c>
      <c r="D26" s="25"/>
      <c r="E26" s="25"/>
      <c r="F26" s="25"/>
      <c r="G26" s="25"/>
      <c r="H26" s="46">
        <f>H27</f>
        <v>0</v>
      </c>
      <c r="I26" s="46">
        <f>I27</f>
        <v>0</v>
      </c>
      <c r="J26" s="26">
        <f aca="true" t="shared" si="10" ref="J26:AL26">J27</f>
        <v>5.061864406779661</v>
      </c>
      <c r="K26" s="26">
        <f t="shared" si="10"/>
        <v>5.061864406779661</v>
      </c>
      <c r="L26" s="46">
        <f t="shared" si="10"/>
        <v>0</v>
      </c>
      <c r="M26" s="26">
        <f t="shared" si="10"/>
        <v>0.9838983050847459</v>
      </c>
      <c r="N26" s="26">
        <f t="shared" si="10"/>
        <v>4.077966101694916</v>
      </c>
      <c r="O26" s="46">
        <f t="shared" si="10"/>
        <v>0</v>
      </c>
      <c r="P26" s="46">
        <f t="shared" si="10"/>
        <v>0</v>
      </c>
      <c r="Q26" s="46">
        <f t="shared" si="10"/>
        <v>0</v>
      </c>
      <c r="R26" s="46">
        <f t="shared" si="10"/>
        <v>0</v>
      </c>
      <c r="S26" s="46">
        <f t="shared" si="10"/>
        <v>0</v>
      </c>
      <c r="T26" s="46">
        <f t="shared" si="10"/>
        <v>0</v>
      </c>
      <c r="U26" s="46">
        <f t="shared" si="10"/>
        <v>0</v>
      </c>
      <c r="V26" s="26">
        <f t="shared" si="10"/>
        <v>5.061864406779661</v>
      </c>
      <c r="W26" s="46">
        <f t="shared" si="10"/>
        <v>0</v>
      </c>
      <c r="X26" s="26">
        <f t="shared" si="10"/>
        <v>5.061864406779661</v>
      </c>
      <c r="Y26" s="46">
        <f t="shared" si="10"/>
        <v>0</v>
      </c>
      <c r="Z26" s="46">
        <f t="shared" si="10"/>
        <v>0</v>
      </c>
      <c r="AA26" s="26">
        <f t="shared" si="10"/>
        <v>0.2664</v>
      </c>
      <c r="AB26" s="46">
        <f t="shared" si="10"/>
        <v>0</v>
      </c>
      <c r="AC26" s="26">
        <f t="shared" si="10"/>
        <v>0.2664</v>
      </c>
      <c r="AD26" s="46">
        <f t="shared" si="10"/>
        <v>0</v>
      </c>
      <c r="AE26" s="26">
        <f t="shared" si="10"/>
        <v>0.2664</v>
      </c>
      <c r="AF26" s="46">
        <f t="shared" si="10"/>
        <v>0</v>
      </c>
      <c r="AG26" s="26">
        <f t="shared" si="10"/>
        <v>0.2664</v>
      </c>
      <c r="AH26" s="46">
        <f t="shared" si="10"/>
        <v>0</v>
      </c>
      <c r="AI26" s="26">
        <f t="shared" si="10"/>
        <v>3.996</v>
      </c>
      <c r="AJ26" s="46">
        <f t="shared" si="10"/>
        <v>0</v>
      </c>
      <c r="AK26" s="26">
        <f t="shared" si="10"/>
        <v>5.0616</v>
      </c>
      <c r="AL26" s="26">
        <f t="shared" si="10"/>
        <v>0</v>
      </c>
      <c r="AM26" s="60"/>
      <c r="AN26" s="39"/>
      <c r="AO26" s="39"/>
      <c r="AP26" s="39"/>
    </row>
    <row r="27" spans="1:42" s="40" customFormat="1" ht="22.5" customHeight="1">
      <c r="A27" s="47" t="s">
        <v>40</v>
      </c>
      <c r="B27" s="68" t="s">
        <v>52</v>
      </c>
      <c r="C27" s="48" t="s">
        <v>40</v>
      </c>
      <c r="D27" s="27" t="s">
        <v>53</v>
      </c>
      <c r="E27" s="27">
        <v>2016</v>
      </c>
      <c r="F27" s="27">
        <v>2020</v>
      </c>
      <c r="G27" s="27" t="s">
        <v>46</v>
      </c>
      <c r="H27" s="49">
        <v>0</v>
      </c>
      <c r="I27" s="49">
        <v>0</v>
      </c>
      <c r="J27" s="28">
        <v>5.061864406779661</v>
      </c>
      <c r="K27" s="28">
        <f>SUM(L27:O27)</f>
        <v>5.061864406779661</v>
      </c>
      <c r="L27" s="49">
        <v>0</v>
      </c>
      <c r="M27" s="28">
        <f>1.161/1.18</f>
        <v>0.9838983050847459</v>
      </c>
      <c r="N27" s="28">
        <f>4.812/1.18</f>
        <v>4.077966101694916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28">
        <v>5.061864406779661</v>
      </c>
      <c r="W27" s="49">
        <v>0</v>
      </c>
      <c r="X27" s="28">
        <v>5.061864406779661</v>
      </c>
      <c r="Y27" s="49">
        <v>0</v>
      </c>
      <c r="Z27" s="49">
        <v>0</v>
      </c>
      <c r="AA27" s="28">
        <v>0.2664</v>
      </c>
      <c r="AB27" s="49">
        <v>0</v>
      </c>
      <c r="AC27" s="28">
        <v>0.2664</v>
      </c>
      <c r="AD27" s="49">
        <v>0</v>
      </c>
      <c r="AE27" s="28">
        <v>0.2664</v>
      </c>
      <c r="AF27" s="49">
        <v>0</v>
      </c>
      <c r="AG27" s="28">
        <v>0.2664</v>
      </c>
      <c r="AH27" s="49">
        <v>0</v>
      </c>
      <c r="AI27" s="28">
        <v>3.996</v>
      </c>
      <c r="AJ27" s="49">
        <v>0</v>
      </c>
      <c r="AK27" s="28">
        <f aca="true" t="shared" si="11" ref="AK27:AL30">AA27+AC27+AE27+AG27+AI27</f>
        <v>5.0616</v>
      </c>
      <c r="AL27" s="49">
        <f t="shared" si="11"/>
        <v>0</v>
      </c>
      <c r="AM27" s="62"/>
      <c r="AN27" s="39"/>
      <c r="AO27" s="39"/>
      <c r="AP27" s="39"/>
    </row>
    <row r="28" spans="1:42" s="40" customFormat="1" ht="22.5" customHeight="1">
      <c r="A28" s="44" t="s">
        <v>40</v>
      </c>
      <c r="B28" s="67" t="s">
        <v>54</v>
      </c>
      <c r="C28" s="45" t="s">
        <v>40</v>
      </c>
      <c r="D28" s="25"/>
      <c r="E28" s="25"/>
      <c r="F28" s="25"/>
      <c r="G28" s="25"/>
      <c r="H28" s="46">
        <f>H29+H30</f>
        <v>0</v>
      </c>
      <c r="I28" s="46">
        <f>I29+I30</f>
        <v>0</v>
      </c>
      <c r="J28" s="26">
        <f>J29+J30</f>
        <v>5.9437609789579815</v>
      </c>
      <c r="K28" s="26">
        <f aca="true" t="shared" si="12" ref="K28:T28">K29+K30</f>
        <v>5.9437609789579815</v>
      </c>
      <c r="L28" s="26">
        <f t="shared" si="12"/>
        <v>0.11745762711864408</v>
      </c>
      <c r="M28" s="26">
        <f t="shared" si="12"/>
        <v>4.004237288135593</v>
      </c>
      <c r="N28" s="26">
        <f t="shared" si="12"/>
        <v>1.1542372881355933</v>
      </c>
      <c r="O28" s="26">
        <f t="shared" si="12"/>
        <v>0.6678287755681509</v>
      </c>
      <c r="P28" s="46">
        <f t="shared" si="12"/>
        <v>0</v>
      </c>
      <c r="Q28" s="46">
        <f t="shared" si="12"/>
        <v>0</v>
      </c>
      <c r="R28" s="46">
        <f t="shared" si="12"/>
        <v>0</v>
      </c>
      <c r="S28" s="46">
        <f t="shared" si="12"/>
        <v>0</v>
      </c>
      <c r="T28" s="46">
        <f t="shared" si="12"/>
        <v>0</v>
      </c>
      <c r="U28" s="46">
        <f aca="true" t="shared" si="13" ref="U28:AL28">U29+U30</f>
        <v>0</v>
      </c>
      <c r="V28" s="26">
        <f t="shared" si="13"/>
        <v>5.9437609789579815</v>
      </c>
      <c r="W28" s="46">
        <f t="shared" si="13"/>
        <v>0</v>
      </c>
      <c r="X28" s="26">
        <f t="shared" si="13"/>
        <v>5.9437609789579815</v>
      </c>
      <c r="Y28" s="46">
        <f t="shared" si="13"/>
        <v>0</v>
      </c>
      <c r="Z28" s="46">
        <f t="shared" si="13"/>
        <v>0</v>
      </c>
      <c r="AA28" s="26">
        <f t="shared" si="13"/>
        <v>1.783</v>
      </c>
      <c r="AB28" s="26">
        <f t="shared" si="13"/>
        <v>2.946</v>
      </c>
      <c r="AC28" s="26">
        <f t="shared" si="13"/>
        <v>1.7833999999999999</v>
      </c>
      <c r="AD28" s="46">
        <f t="shared" si="13"/>
        <v>0</v>
      </c>
      <c r="AE28" s="26">
        <f t="shared" si="13"/>
        <v>1.1894</v>
      </c>
      <c r="AF28" s="46">
        <f t="shared" si="13"/>
        <v>0</v>
      </c>
      <c r="AG28" s="26">
        <f t="shared" si="13"/>
        <v>0.5944</v>
      </c>
      <c r="AH28" s="46">
        <f t="shared" si="13"/>
        <v>0</v>
      </c>
      <c r="AI28" s="26">
        <f t="shared" si="13"/>
        <v>0.5940000000000001</v>
      </c>
      <c r="AJ28" s="46">
        <f t="shared" si="13"/>
        <v>0</v>
      </c>
      <c r="AK28" s="26">
        <f t="shared" si="13"/>
        <v>5.9441999999999995</v>
      </c>
      <c r="AL28" s="26">
        <f t="shared" si="13"/>
        <v>2.946</v>
      </c>
      <c r="AM28" s="60"/>
      <c r="AN28" s="39"/>
      <c r="AO28" s="39"/>
      <c r="AP28" s="39"/>
    </row>
    <row r="29" spans="1:42" s="40" customFormat="1" ht="34.5" customHeight="1">
      <c r="A29" s="47" t="s">
        <v>40</v>
      </c>
      <c r="B29" s="68" t="s">
        <v>55</v>
      </c>
      <c r="C29" s="48" t="s">
        <v>40</v>
      </c>
      <c r="D29" s="27" t="s">
        <v>45</v>
      </c>
      <c r="E29" s="27">
        <v>2015</v>
      </c>
      <c r="F29" s="27">
        <v>2016</v>
      </c>
      <c r="G29" s="27" t="s">
        <v>46</v>
      </c>
      <c r="H29" s="49">
        <v>0</v>
      </c>
      <c r="I29" s="49">
        <v>0</v>
      </c>
      <c r="J29" s="28">
        <v>3.9611864406779658</v>
      </c>
      <c r="K29" s="28">
        <f>SUM(L29:O29)</f>
        <v>3.9611864406779658</v>
      </c>
      <c r="L29" s="28">
        <f>0.097/1.18</f>
        <v>0.08220338983050848</v>
      </c>
      <c r="M29" s="28">
        <f>3.167/1.18</f>
        <v>2.6838983050847456</v>
      </c>
      <c r="N29" s="28">
        <f>0.895/1.18</f>
        <v>0.7584745762711865</v>
      </c>
      <c r="O29" s="28">
        <f>0.5152/1.18</f>
        <v>0.4366101694915254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28">
        <v>3.9611864406779658</v>
      </c>
      <c r="W29" s="49">
        <v>0</v>
      </c>
      <c r="X29" s="28">
        <v>3.9611864406779658</v>
      </c>
      <c r="Y29" s="49">
        <v>0</v>
      </c>
      <c r="Z29" s="49">
        <v>0</v>
      </c>
      <c r="AA29" s="28">
        <v>1.188</v>
      </c>
      <c r="AB29" s="28">
        <v>2.946</v>
      </c>
      <c r="AC29" s="28">
        <v>1.1884</v>
      </c>
      <c r="AD29" s="49">
        <v>0</v>
      </c>
      <c r="AE29" s="28">
        <v>0.7924</v>
      </c>
      <c r="AF29" s="49">
        <v>0</v>
      </c>
      <c r="AG29" s="28">
        <v>0.3964</v>
      </c>
      <c r="AH29" s="49">
        <v>0</v>
      </c>
      <c r="AI29" s="28">
        <v>0.396</v>
      </c>
      <c r="AJ29" s="49">
        <v>0</v>
      </c>
      <c r="AK29" s="28">
        <f t="shared" si="11"/>
        <v>3.9612</v>
      </c>
      <c r="AL29" s="28">
        <f t="shared" si="11"/>
        <v>2.946</v>
      </c>
      <c r="AM29" s="61"/>
      <c r="AN29" s="39"/>
      <c r="AO29" s="39"/>
      <c r="AP29" s="39"/>
    </row>
    <row r="30" spans="1:42" s="40" customFormat="1" ht="34.5" customHeight="1" thickBot="1">
      <c r="A30" s="53" t="s">
        <v>40</v>
      </c>
      <c r="B30" s="70" t="s">
        <v>56</v>
      </c>
      <c r="C30" s="54" t="s">
        <v>40</v>
      </c>
      <c r="D30" s="31" t="s">
        <v>57</v>
      </c>
      <c r="E30" s="31">
        <v>2017</v>
      </c>
      <c r="F30" s="31">
        <v>2020</v>
      </c>
      <c r="G30" s="32" t="s">
        <v>46</v>
      </c>
      <c r="H30" s="55">
        <v>0</v>
      </c>
      <c r="I30" s="55">
        <v>0</v>
      </c>
      <c r="J30" s="64">
        <v>1.9825745382800157</v>
      </c>
      <c r="K30" s="64">
        <f>SUM(L30:O30)</f>
        <v>1.9825745382800157</v>
      </c>
      <c r="L30" s="33">
        <f>0.0416/1.18</f>
        <v>0.03525423728813559</v>
      </c>
      <c r="M30" s="33">
        <f>1.558/1.18</f>
        <v>1.3203389830508476</v>
      </c>
      <c r="N30" s="33">
        <f>0.467/1.18</f>
        <v>0.3957627118644068</v>
      </c>
      <c r="O30" s="33">
        <f>0.272837955170418/1.18</f>
        <v>0.23121860607662542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64">
        <v>1.9825745382800157</v>
      </c>
      <c r="W30" s="55">
        <v>0</v>
      </c>
      <c r="X30" s="64">
        <v>1.9825745382800157</v>
      </c>
      <c r="Y30" s="55">
        <v>0</v>
      </c>
      <c r="Z30" s="55">
        <v>0</v>
      </c>
      <c r="AA30" s="64">
        <v>0.595</v>
      </c>
      <c r="AB30" s="55">
        <v>0</v>
      </c>
      <c r="AC30" s="64">
        <v>0.595</v>
      </c>
      <c r="AD30" s="55">
        <v>0</v>
      </c>
      <c r="AE30" s="64">
        <v>0.397</v>
      </c>
      <c r="AF30" s="55">
        <v>0</v>
      </c>
      <c r="AG30" s="64">
        <v>0.198</v>
      </c>
      <c r="AH30" s="55">
        <v>0</v>
      </c>
      <c r="AI30" s="64">
        <v>0.198</v>
      </c>
      <c r="AJ30" s="55">
        <v>0</v>
      </c>
      <c r="AK30" s="64">
        <f t="shared" si="11"/>
        <v>1.9829999999999999</v>
      </c>
      <c r="AL30" s="55">
        <f t="shared" si="11"/>
        <v>0</v>
      </c>
      <c r="AM30" s="65"/>
      <c r="AN30" s="39"/>
      <c r="AO30" s="39"/>
      <c r="AP30" s="39"/>
    </row>
  </sheetData>
  <sheetProtection/>
  <mergeCells count="31">
    <mergeCell ref="Y15:Z15"/>
    <mergeCell ref="E14:E16"/>
    <mergeCell ref="AL15:AL16"/>
    <mergeCell ref="U14:Z14"/>
    <mergeCell ref="AA14:AB15"/>
    <mergeCell ref="AC14:AL14"/>
    <mergeCell ref="AM14:AM16"/>
    <mergeCell ref="K15:O15"/>
    <mergeCell ref="P15:T15"/>
    <mergeCell ref="U15:V15"/>
    <mergeCell ref="W15:X15"/>
    <mergeCell ref="A12:AM12"/>
    <mergeCell ref="AC15:AD15"/>
    <mergeCell ref="AE15:AF15"/>
    <mergeCell ref="AG15:AH15"/>
    <mergeCell ref="AK15:AK16"/>
    <mergeCell ref="A13:AL13"/>
    <mergeCell ref="A14:A16"/>
    <mergeCell ref="B14:B16"/>
    <mergeCell ref="C14:C16"/>
    <mergeCell ref="D14:D16"/>
    <mergeCell ref="AI15:AJ15"/>
    <mergeCell ref="F14:G15"/>
    <mergeCell ref="H14:I15"/>
    <mergeCell ref="J14:J16"/>
    <mergeCell ref="K14:T14"/>
    <mergeCell ref="A4:AM4"/>
    <mergeCell ref="A6:AM6"/>
    <mergeCell ref="A7:AM7"/>
    <mergeCell ref="A9:AM9"/>
    <mergeCell ref="A11:AM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Елена Эдуардовна Дубинина</cp:lastModifiedBy>
  <cp:lastPrinted>2017-01-12T06:48:29Z</cp:lastPrinted>
  <dcterms:created xsi:type="dcterms:W3CDTF">2004-09-19T06:34:55Z</dcterms:created>
  <dcterms:modified xsi:type="dcterms:W3CDTF">2017-03-07T06:44:30Z</dcterms:modified>
  <cp:category/>
  <cp:version/>
  <cp:contentType/>
  <cp:contentStatus/>
</cp:coreProperties>
</file>